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<sst xmlns="http://schemas.openxmlformats.org/spreadsheetml/2006/main" count="1626" uniqueCount="268">
  <si>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</si>
  <si>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</si>
  <si>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</si>
  <si>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</si>
  <si>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</si>
  <si>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</si>
  <si>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</si>
  <si>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</si>
  <si>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</si>
  <si>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</si>
  <si>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</si>
  <si>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</si>
  <si>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</si>
  <si>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</si>
  <si>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</si>
  <si>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</si>
  <si>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</si>
  <si>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</si>
  <si>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</si>
  <si>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</si>
  <si>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</si>
  <si>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</si>
  <si>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</si>
  <si>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</si>
  <si>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</si>
  <si>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</si>
  <si>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</si>
  <si>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</si>
  <si>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</si>
  <si>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</si>
  <si>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</si>
  <si>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</si>
  <si>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</si>
  <si>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</si>
  <si>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</si>
  <si>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</si>
  <si>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</si>
  <si>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</si>
  <si>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</si>
  <si>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</si>
  <si>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</si>
  <si>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</si>
  <si>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</si>
  <si>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</si>
  <si>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</si>
  <si>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</si>
  <si>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</si>
  <si>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</si>
  <si>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</si>
  <si>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</si>
  <si>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</si>
  <si>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</si>
  <si>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</si>
  <si>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</si>
  <si>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</si>
  <si>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</si>
  <si>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</si>
  <si>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</si>
  <si>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</si>
  <si>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</si>
  <si>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</si>
  <si>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</si>
  <si>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</si>
  <si>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</si>
  <si>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</si>
  <si>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</si>
  <si>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</si>
  <si>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</si>
  <si>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</si>
  <si>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</si>
  <si>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</si>
  <si>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</si>
  <si>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</si>
  <si>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</si>
  <si>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</si>
  <si>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</si>
  <si>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</si>
  <si>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</si>
  <si>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</si>
  <si>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</si>
  <si>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</si>
  <si>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</si>
  <si>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</si>
  <si>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</si>
  <si>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</si>
  <si>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</si>
  <si>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</si>
  <si>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</si>
  <si>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</si>
  <si>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</si>
  <si>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</si>
  <si>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</si>
  <si>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</si>
  <si>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</si>
  <si>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</si>
  <si>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</si>
  <si>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</si>
  <si>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</si>
  <si>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</si>
  <si>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</si>
  <si>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</si>
  <si>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</si>
  <si>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</si>
  <si>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</si>
  <si>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</si>
  <si>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</si>
  <si>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</si>
  <si>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</si>
  <si>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</si>
  <si>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</si>
  <si>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</si>
  <si>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</si>
  <si>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</si>
  <si>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</si>
  <si>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</si>
  <si>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</si>
  <si>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</si>
  <si>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</si>
  <si>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</si>
  <si>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</si>
  <si>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</si>
  <si>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</si>
  <si>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</si>
  <si>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</si>
  <si>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</si>
  <si>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</si>
  <si>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</si>
  <si>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</si>
  <si>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</si>
  <si>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</si>
  <si>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</si>
  <si>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</si>
  <si>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</si>
  <si>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</si>
  <si>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</si>
  <si>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</si>
  <si>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</si>
  <si>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</si>
  <si>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</si>
  <si>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</si>
  <si>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</si>
  <si>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</si>
  <si>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</si>
  <si>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</si>
  <si>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</si>
  <si>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</si>
  <si>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</si>
  <si>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</si>
  <si>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</si>
  <si>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</si>
  <si>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</si>
  <si>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</si>
  <si>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</si>
  <si>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</si>
  <si>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</si>
  <si>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</si>
  <si>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</si>
  <si>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</si>
  <si>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</si>
  <si>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</si>
  <si>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</si>
  <si>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</si>
  <si>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</si>
  <si>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</si>
  <si>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</si>
  <si>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</si>
  <si>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</si>
  <si>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</si>
  <si>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</si>
  <si>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</si>
  <si>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</si>
  <si>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</si>
  <si>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</si>
  <si>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</si>
  <si>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</si>
  <si>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</si>
  <si>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</si>
  <si>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</si>
  <si>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</si>
  <si>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</si>
  <si>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</si>
  <si>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</si>
  <si>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</si>
  <si>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</si>
  <si>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</si>
  <si>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</si>
  <si>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</si>
  <si>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</si>
  <si>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</si>
  <si>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</si>
  <si>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</si>
  <si>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</si>
  <si>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</si>
  <si>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</si>
  <si>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</si>
  <si>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</si>
  <si>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</si>
  <si>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</si>
  <si>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</si>
  <si>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</si>
  <si>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</si>
  <si>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</si>
  <si>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</si>
  <si>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</si>
  <si>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</si>
  <si>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</si>
  <si>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</si>
  <si>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</si>
  <si>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</si>
  <si>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</si>
  <si>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</si>
  <si>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</si>
  <si>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</si>
  <si>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</si>
  <si>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</si>
  <si>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</si>
  <si>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</si>
  <si>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</si>
  <si>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</si>
  <si>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</si>
  <si>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</si>
  <si>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</si>
  <si>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</si>
  <si>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</si>
  <si>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</si>
  <si>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</si>
  <si>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</si>
  <si>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</si>
  <si>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</si>
  <si>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</si>
  <si>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</si>
  <si>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</si>
  <si>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</si>
  <si>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</si>
  <si>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</si>
  <si>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</si>
  <si>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</si>
  <si>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</si>
  <si>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</si>
  <si>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</si>
  <si>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</si>
  <si>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</si>
  <si>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</si>
  <si>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</si>
  <si>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</si>
  <si>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</si>
  <si>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</si>
  <si>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</si>
  <si>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</si>
  <si>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</si>
  <si>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</si>
  <si>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</si>
  <si>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</si>
  <si>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</si>
  <si>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</si>
  <si>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</si>
  <si>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</si>
  <si>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</si>
  <si>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</si>
  <si>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</si>
  <si>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</si>
  <si>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</si>
  <si>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</si>
  <si>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</si>
  <si>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</si>
  <si>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</si>
  <si>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</si>
  <si>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04.08.14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</si>
</sst>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121692516.3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107867294.34</v>
          </cell>
        </row>
      </sheetData>
      <sheetData sheetId="13">
        <row r="52">
          <cell r="B52">
            <v>24148364.239999995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133" sqref="N13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259</v>
      </c>
      <c r="H4" s="189" t="s">
        <v>260</v>
      </c>
      <c r="I4" s="185" t="s">
        <v>188</v>
      </c>
      <c r="J4" s="191" t="s">
        <v>189</v>
      </c>
      <c r="K4" s="167" t="s">
        <v>264</v>
      </c>
      <c r="L4" s="168"/>
      <c r="M4" s="204"/>
      <c r="N4" s="183" t="s">
        <v>267</v>
      </c>
      <c r="O4" s="185" t="s">
        <v>136</v>
      </c>
      <c r="P4" s="185" t="s">
        <v>135</v>
      </c>
      <c r="Q4" s="167" t="s">
        <v>265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258</v>
      </c>
      <c r="F5" s="207"/>
      <c r="G5" s="188"/>
      <c r="H5" s="190"/>
      <c r="I5" s="186"/>
      <c r="J5" s="192"/>
      <c r="K5" s="180"/>
      <c r="L5" s="181"/>
      <c r="M5" s="151" t="s">
        <v>262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271050.43000000005</v>
      </c>
      <c r="G8" s="22">
        <f aca="true" t="shared" si="0" ref="G8:G30">F8-E8</f>
        <v>-40962.95999999996</v>
      </c>
      <c r="H8" s="51">
        <f>F8/E8*100</f>
        <v>86.87140958918464</v>
      </c>
      <c r="I8" s="36">
        <f aca="true" t="shared" si="1" ref="I8:I17">F8-D8</f>
        <v>-217425.86999999994</v>
      </c>
      <c r="J8" s="36">
        <f aca="true" t="shared" si="2" ref="J8:J14">F8/D8*100</f>
        <v>55.48896230994217</v>
      </c>
      <c r="K8" s="36">
        <f>F8-306776.9</f>
        <v>-35726.46999999997</v>
      </c>
      <c r="L8" s="136">
        <f>F8/306776.9</f>
        <v>0.8835425027112538</v>
      </c>
      <c r="M8" s="22">
        <f>M10+M19+M33+M56+M68+M30</f>
        <v>40778.67999999999</v>
      </c>
      <c r="N8" s="22">
        <f>N10+N19+N33+N56+N68+N30</f>
        <v>1925.1499999999937</v>
      </c>
      <c r="O8" s="36">
        <f aca="true" t="shared" si="3" ref="O8:O71">N8-M8</f>
        <v>-38853.53</v>
      </c>
      <c r="P8" s="36">
        <f>F8/M8*100</f>
        <v>664.6866205576054</v>
      </c>
      <c r="Q8" s="36">
        <f>N8-38892.4</f>
        <v>-36967.25000000001</v>
      </c>
      <c r="R8" s="134">
        <f>N8/38892.4</f>
        <v>0.049499388055249706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219679.9</v>
      </c>
      <c r="G9" s="22">
        <f t="shared" si="0"/>
        <v>219679.9</v>
      </c>
      <c r="H9" s="20"/>
      <c r="I9" s="56">
        <f t="shared" si="1"/>
        <v>-167333.30000000002</v>
      </c>
      <c r="J9" s="56">
        <f t="shared" si="2"/>
        <v>56.762895942567326</v>
      </c>
      <c r="K9" s="56"/>
      <c r="L9" s="135"/>
      <c r="M9" s="20">
        <f>M10+M17</f>
        <v>33764.899999999994</v>
      </c>
      <c r="N9" s="20">
        <f>N10+N17</f>
        <v>1794.2799999999988</v>
      </c>
      <c r="O9" s="36">
        <f t="shared" si="3"/>
        <v>-31970.619999999995</v>
      </c>
      <c r="P9" s="56">
        <f>F9/M9*100</f>
        <v>650.6161724157336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219679.9</v>
      </c>
      <c r="G10" s="49">
        <f t="shared" si="0"/>
        <v>-35456.100000000006</v>
      </c>
      <c r="H10" s="40">
        <f aca="true" t="shared" si="4" ref="H10:H17">F10/E10*100</f>
        <v>86.10305876081775</v>
      </c>
      <c r="I10" s="56">
        <f t="shared" si="1"/>
        <v>-167333.30000000002</v>
      </c>
      <c r="J10" s="56">
        <f t="shared" si="2"/>
        <v>56.762895942567326</v>
      </c>
      <c r="K10" s="141">
        <f>F10-242707.3</f>
        <v>-23027.399999999994</v>
      </c>
      <c r="L10" s="142">
        <f>F10/242707.3</f>
        <v>0.9051227548573941</v>
      </c>
      <c r="M10" s="40">
        <f>E10-липень!E10</f>
        <v>33764.899999999994</v>
      </c>
      <c r="N10" s="40">
        <f>F10-липень!F10</f>
        <v>1794.2799999999988</v>
      </c>
      <c r="O10" s="53">
        <f t="shared" si="3"/>
        <v>-31970.619999999995</v>
      </c>
      <c r="P10" s="56">
        <f aca="true" t="shared" si="5" ref="P10:P17">N10/M10*100</f>
        <v>5.314039135315073</v>
      </c>
      <c r="Q10" s="141">
        <f>N10-31381.5</f>
        <v>-29587.22</v>
      </c>
      <c r="R10" s="142">
        <f>N10/31381.5</f>
        <v>0.05717636186925414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349.38</v>
      </c>
      <c r="G19" s="49">
        <f t="shared" si="0"/>
        <v>-696.2199999999999</v>
      </c>
      <c r="H19" s="40">
        <f aca="true" t="shared" si="6" ref="H19:H29">F19/E19*100</f>
        <v>33.41430757459832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F19-6117.2</f>
        <v>-5767.82</v>
      </c>
      <c r="L19" s="135">
        <f>F19/6117.2</f>
        <v>0.05711436604982672</v>
      </c>
      <c r="M19" s="40">
        <f>E19-липень!E19</f>
        <v>12</v>
      </c>
      <c r="N19" s="40">
        <f>F19-липень!F19</f>
        <v>0</v>
      </c>
      <c r="O19" s="53">
        <f t="shared" si="3"/>
        <v>-12</v>
      </c>
      <c r="P19" s="56">
        <f aca="true" t="shared" si="9" ref="P19:P29">N19/M19*100</f>
        <v>0</v>
      </c>
      <c r="Q19" s="56">
        <f>N19-74.4</f>
        <v>-74.4</v>
      </c>
      <c r="R19" s="135">
        <f>N19/74.4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850.64</v>
      </c>
      <c r="G29" s="49">
        <f t="shared" si="0"/>
        <v>65.03999999999996</v>
      </c>
      <c r="H29" s="40">
        <f t="shared" si="6"/>
        <v>108.27902240325864</v>
      </c>
      <c r="I29" s="56">
        <f t="shared" si="7"/>
        <v>-79.36000000000001</v>
      </c>
      <c r="J29" s="56">
        <f t="shared" si="8"/>
        <v>91.46666666666667</v>
      </c>
      <c r="K29" s="148">
        <f>F29-2498.05</f>
        <v>-1647.4100000000003</v>
      </c>
      <c r="L29" s="149">
        <f>F29/2498.05</f>
        <v>0.3405216068533456</v>
      </c>
      <c r="M29" s="40">
        <f>E29-липень!E29</f>
        <v>52</v>
      </c>
      <c r="N29" s="40">
        <f>F29-липень!F29</f>
        <v>0</v>
      </c>
      <c r="O29" s="148">
        <f t="shared" si="3"/>
        <v>-52</v>
      </c>
      <c r="P29" s="145">
        <f t="shared" si="9"/>
        <v>0</v>
      </c>
      <c r="Q29" s="148">
        <f>N29-74.37</f>
        <v>-74.37</v>
      </c>
      <c r="R29" s="149">
        <f>N29/74.37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3.32</v>
      </c>
      <c r="G30" s="49">
        <f t="shared" si="0"/>
        <v>-23.68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E30-липень!E30</f>
        <v>8.5</v>
      </c>
      <c r="N30" s="40">
        <f>F30-липень!F30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47202.6</v>
      </c>
      <c r="G33" s="49">
        <f aca="true" t="shared" si="14" ref="G33:G72">F33-E33</f>
        <v>-4098.190000000002</v>
      </c>
      <c r="H33" s="40">
        <f aca="true" t="shared" si="15" ref="H33:H67">F33/E33*100</f>
        <v>92.01144855664015</v>
      </c>
      <c r="I33" s="56">
        <f>F33-D33</f>
        <v>-46363.4</v>
      </c>
      <c r="J33" s="56">
        <f aca="true" t="shared" si="16" ref="J33:J72">F33/D33*100</f>
        <v>50.44845349806554</v>
      </c>
      <c r="K33" s="141">
        <f>F33-53788.3</f>
        <v>-6585.700000000004</v>
      </c>
      <c r="L33" s="142">
        <f>F33/53788.3</f>
        <v>0.8775625926084296</v>
      </c>
      <c r="M33" s="40">
        <f>E33-липень!E33</f>
        <v>6439.68</v>
      </c>
      <c r="N33" s="40">
        <f>F33-липень!F33</f>
        <v>100.43999999999505</v>
      </c>
      <c r="O33" s="53">
        <f t="shared" si="3"/>
        <v>-6339.240000000005</v>
      </c>
      <c r="P33" s="56">
        <f aca="true" t="shared" si="17" ref="P33:P67">N33/M33*100</f>
        <v>1.5597048300535903</v>
      </c>
      <c r="Q33" s="141">
        <f>N33-6951.4</f>
        <v>-6850.960000000005</v>
      </c>
      <c r="R33" s="142">
        <f>N33/6951.4</f>
        <v>0.014448887993784713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34960.7</v>
      </c>
      <c r="G55" s="144">
        <f t="shared" si="14"/>
        <v>-2829.790000000001</v>
      </c>
      <c r="H55" s="146">
        <f t="shared" si="15"/>
        <v>92.51189915769814</v>
      </c>
      <c r="I55" s="145">
        <f t="shared" si="18"/>
        <v>-35305.3</v>
      </c>
      <c r="J55" s="145">
        <f t="shared" si="16"/>
        <v>49.75478894486665</v>
      </c>
      <c r="K55" s="148">
        <f>F55-38852.08</f>
        <v>-3891.3800000000047</v>
      </c>
      <c r="L55" s="149">
        <f>F55/38852.08</f>
        <v>0.8998411410663212</v>
      </c>
      <c r="M55" s="40">
        <f>E55-липень!E55</f>
        <v>4679.68</v>
      </c>
      <c r="N55" s="40">
        <f>F55-липень!F55</f>
        <v>77.79999999999563</v>
      </c>
      <c r="O55" s="148">
        <f t="shared" si="3"/>
        <v>-4601.880000000005</v>
      </c>
      <c r="P55" s="148">
        <f t="shared" si="17"/>
        <v>1.6625068380743049</v>
      </c>
      <c r="Q55" s="163">
        <f>N55-5157.94</f>
        <v>-5080.140000000004</v>
      </c>
      <c r="R55" s="164">
        <f>N55/5157.94</f>
        <v>0.015083541103618042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v>3814.2</v>
      </c>
      <c r="G56" s="49">
        <f t="shared" si="14"/>
        <v>-689.6999999999998</v>
      </c>
      <c r="H56" s="40">
        <f t="shared" si="15"/>
        <v>84.68660494238327</v>
      </c>
      <c r="I56" s="56">
        <f t="shared" si="18"/>
        <v>-3045.8</v>
      </c>
      <c r="J56" s="56">
        <f t="shared" si="16"/>
        <v>55.600583090379004</v>
      </c>
      <c r="K56" s="56">
        <f>F56-4138.3</f>
        <v>-324.10000000000036</v>
      </c>
      <c r="L56" s="135">
        <f>F56/4138.3</f>
        <v>0.9216828166155183</v>
      </c>
      <c r="M56" s="40">
        <f>E56-липень!E56</f>
        <v>553.5999999999995</v>
      </c>
      <c r="N56" s="40">
        <f>F56-липень!F56</f>
        <v>30.429999999999836</v>
      </c>
      <c r="O56" s="53">
        <f t="shared" si="3"/>
        <v>-523.1699999999996</v>
      </c>
      <c r="P56" s="56">
        <f t="shared" si="17"/>
        <v>5.496748554913271</v>
      </c>
      <c r="Q56" s="56">
        <f>N56-484.9</f>
        <v>-454.47000000000014</v>
      </c>
      <c r="R56" s="135">
        <f>N56/484.9</f>
        <v>0.06275520725922837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7515.1399999999985</v>
      </c>
      <c r="G74" s="50">
        <f aca="true" t="shared" si="24" ref="G74:G92">F74-E74</f>
        <v>-3084.3600000000015</v>
      </c>
      <c r="H74" s="51">
        <f aca="true" t="shared" si="25" ref="H74:H87">F74/E74*100</f>
        <v>70.90089155148827</v>
      </c>
      <c r="I74" s="36">
        <f aca="true" t="shared" si="26" ref="I74:I92">F74-D74</f>
        <v>-10843.16</v>
      </c>
      <c r="J74" s="36">
        <f aca="true" t="shared" si="27" ref="J74:J92">F74/D74*100</f>
        <v>40.935925439719355</v>
      </c>
      <c r="K74" s="36">
        <f>F74-12962.5</f>
        <v>-5447.3600000000015</v>
      </c>
      <c r="L74" s="136">
        <f>F74/12962.5</f>
        <v>0.5797600771456122</v>
      </c>
      <c r="M74" s="22">
        <f>M77+M86+M88+M89+M94+M95+M96+M97+M99+M87+M104</f>
        <v>1620.5</v>
      </c>
      <c r="N74" s="22">
        <f>N77+N86+N88+N89+N94+N95+N96+N97+N99+N32+N104+N87+N103</f>
        <v>70.99999999999977</v>
      </c>
      <c r="O74" s="55">
        <f aca="true" t="shared" si="28" ref="O74:O92">N74-M74</f>
        <v>-1549.5000000000002</v>
      </c>
      <c r="P74" s="36">
        <f>N74/M74*100</f>
        <v>4.381363776612143</v>
      </c>
      <c r="Q74" s="36">
        <f>N74-1702.6</f>
        <v>-1631.6000000000001</v>
      </c>
      <c r="R74" s="136">
        <f>N74/1702.6</f>
        <v>0.041700927992481956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106.29</v>
      </c>
      <c r="G77" s="49">
        <f t="shared" si="24"/>
        <v>-3.7099999999999937</v>
      </c>
      <c r="H77" s="40">
        <f t="shared" si="25"/>
        <v>96.62727272727273</v>
      </c>
      <c r="I77" s="56">
        <f t="shared" si="26"/>
        <v>-393.71</v>
      </c>
      <c r="J77" s="56">
        <f t="shared" si="27"/>
        <v>21.258000000000003</v>
      </c>
      <c r="K77" s="56">
        <f>F77-1694.5</f>
        <v>-1588.21</v>
      </c>
      <c r="L77" s="135">
        <f>F77/1694.5</f>
        <v>0.06272646798465624</v>
      </c>
      <c r="M77" s="40">
        <f>E77-липень!E77</f>
        <v>50</v>
      </c>
      <c r="N77" s="40">
        <f>F77-липень!F77</f>
        <v>0</v>
      </c>
      <c r="O77" s="53">
        <f t="shared" si="28"/>
        <v>-50</v>
      </c>
      <c r="P77" s="56">
        <f aca="true" t="shared" si="29" ref="P77:P87">N77/M77*100</f>
        <v>0</v>
      </c>
      <c r="Q77" s="56">
        <f>N77-46.4</f>
        <v>-46.4</v>
      </c>
      <c r="R77" s="135">
        <f>N77/46.4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78.24</v>
      </c>
      <c r="G89" s="49">
        <f t="shared" si="24"/>
        <v>-35.760000000000005</v>
      </c>
      <c r="H89" s="40">
        <f>F89/E89*100</f>
        <v>68.63157894736842</v>
      </c>
      <c r="I89" s="56">
        <f t="shared" si="26"/>
        <v>-96.76</v>
      </c>
      <c r="J89" s="56">
        <f t="shared" si="27"/>
        <v>44.708571428571425</v>
      </c>
      <c r="K89" s="56">
        <f>F89-108.5</f>
        <v>-30.260000000000005</v>
      </c>
      <c r="L89" s="135">
        <f>F89/108.5</f>
        <v>0.7211059907834101</v>
      </c>
      <c r="M89" s="40">
        <f>E89-липень!E89</f>
        <v>15</v>
      </c>
      <c r="N89" s="40">
        <f>F89-липень!F89</f>
        <v>0</v>
      </c>
      <c r="O89" s="53">
        <f t="shared" si="28"/>
        <v>-15</v>
      </c>
      <c r="P89" s="56">
        <f>N89/M89*100</f>
        <v>0</v>
      </c>
      <c r="Q89" s="56">
        <f>N89-14.5</f>
        <v>-14.5</v>
      </c>
      <c r="R89" s="135">
        <f>N89/14.5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4143.38</v>
      </c>
      <c r="G95" s="49">
        <f t="shared" si="31"/>
        <v>-538.1199999999999</v>
      </c>
      <c r="H95" s="40">
        <f>F95/E95*100</f>
        <v>88.50539357043684</v>
      </c>
      <c r="I95" s="56">
        <f t="shared" si="32"/>
        <v>-2856.62</v>
      </c>
      <c r="J95" s="56">
        <f>F95/D95*100</f>
        <v>59.19114285714285</v>
      </c>
      <c r="K95" s="56">
        <f>F95-4948.3</f>
        <v>-804.9200000000001</v>
      </c>
      <c r="L95" s="135">
        <f>F95/4948.3</f>
        <v>0.837334033910636</v>
      </c>
      <c r="M95" s="40">
        <f>E95-липень!E95</f>
        <v>575</v>
      </c>
      <c r="N95" s="40">
        <f>F95-липень!F95</f>
        <v>0</v>
      </c>
      <c r="O95" s="53">
        <f t="shared" si="33"/>
        <v>-575</v>
      </c>
      <c r="P95" s="56">
        <f>N95/M95*100</f>
        <v>0</v>
      </c>
      <c r="Q95" s="56">
        <f>N95-696.9</f>
        <v>-696.9</v>
      </c>
      <c r="R95" s="135">
        <f>N95/696.9</f>
        <v>0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547.9</v>
      </c>
      <c r="G96" s="49">
        <f t="shared" si="31"/>
        <v>-146.60000000000002</v>
      </c>
      <c r="H96" s="40">
        <f>F96/E96*100</f>
        <v>78.89128869690425</v>
      </c>
      <c r="I96" s="56">
        <f t="shared" si="32"/>
        <v>-652.1</v>
      </c>
      <c r="J96" s="56">
        <f>F96/D96*100</f>
        <v>45.65833333333333</v>
      </c>
      <c r="K96" s="56">
        <f>F96-693.4</f>
        <v>-145.5</v>
      </c>
      <c r="L96" s="135">
        <f>F96/693.4</f>
        <v>0.7901644072685319</v>
      </c>
      <c r="M96" s="40">
        <f>E96-липень!E96</f>
        <v>90</v>
      </c>
      <c r="N96" s="40">
        <f>F96-липень!F96</f>
        <v>16.49000000000001</v>
      </c>
      <c r="O96" s="53">
        <f t="shared" si="33"/>
        <v>-73.50999999999999</v>
      </c>
      <c r="P96" s="56">
        <f>N96/M96*100</f>
        <v>18.32222222222223</v>
      </c>
      <c r="Q96" s="56">
        <f>N96-90.8</f>
        <v>-74.30999999999999</v>
      </c>
      <c r="R96" s="135">
        <f>N96/90.8</f>
        <v>0.1816079295154186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2400.6</v>
      </c>
      <c r="G99" s="49">
        <f t="shared" si="31"/>
        <v>-196.4000000000001</v>
      </c>
      <c r="H99" s="40">
        <f>F99/E99*100</f>
        <v>92.4374278013092</v>
      </c>
      <c r="I99" s="56">
        <f t="shared" si="32"/>
        <v>-2172.1</v>
      </c>
      <c r="J99" s="56">
        <f>F99/D99*100</f>
        <v>52.49852384805476</v>
      </c>
      <c r="K99" s="56">
        <f>F99-2979.1</f>
        <v>-578.5</v>
      </c>
      <c r="L99" s="135">
        <f>F99/2979.1</f>
        <v>0.8058138363935416</v>
      </c>
      <c r="M99" s="40">
        <f>E99-липень!E99</f>
        <v>410</v>
      </c>
      <c r="N99" s="40">
        <f>F99-липень!F99</f>
        <v>54.50999999999976</v>
      </c>
      <c r="O99" s="53">
        <f t="shared" si="33"/>
        <v>-355.49000000000024</v>
      </c>
      <c r="P99" s="56">
        <f>N99/M99*100</f>
        <v>13.295121951219455</v>
      </c>
      <c r="Q99" s="56">
        <f>N99-355.4</f>
        <v>-300.8900000000002</v>
      </c>
      <c r="R99" s="135">
        <f>N99/355.4</f>
        <v>0.15337647720877817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479</v>
      </c>
      <c r="G102" s="144"/>
      <c r="H102" s="146"/>
      <c r="I102" s="145"/>
      <c r="J102" s="145"/>
      <c r="K102" s="148">
        <f>F102-421.2</f>
        <v>57.80000000000001</v>
      </c>
      <c r="L102" s="149">
        <f>F102/421.2</f>
        <v>1.137226970560304</v>
      </c>
      <c r="M102" s="40">
        <f>E102-липень!E102</f>
        <v>0</v>
      </c>
      <c r="N102" s="40">
        <f>F102-липень!F102</f>
        <v>9.100000000000023</v>
      </c>
      <c r="O102" s="53"/>
      <c r="P102" s="60"/>
      <c r="Q102" s="60">
        <f>N102-95.6</f>
        <v>-86.49999999999997</v>
      </c>
      <c r="R102" s="138">
        <f>N102/95.6</f>
        <v>0.0951882845188287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15.5</v>
      </c>
      <c r="G105" s="49">
        <f>F105-E105</f>
        <v>-5.699999999999999</v>
      </c>
      <c r="H105" s="40">
        <f>F105/E105*100</f>
        <v>73.11320754716981</v>
      </c>
      <c r="I105" s="56">
        <f t="shared" si="34"/>
        <v>-29.5</v>
      </c>
      <c r="J105" s="56">
        <f aca="true" t="shared" si="36" ref="J105:J110">F105/D105*100</f>
        <v>34.44444444444444</v>
      </c>
      <c r="K105" s="56">
        <f>F105-13.4</f>
        <v>2.0999999999999996</v>
      </c>
      <c r="L105" s="135">
        <f>F105/13.4</f>
        <v>1.1567164179104477</v>
      </c>
      <c r="M105" s="40">
        <f>E105-липень!E105</f>
        <v>3</v>
      </c>
      <c r="N105" s="40">
        <f>F105-липень!F105</f>
        <v>0.07000000000000028</v>
      </c>
      <c r="O105" s="53">
        <f t="shared" si="35"/>
        <v>-2.9299999999999997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278581.1500000001</v>
      </c>
      <c r="G107" s="50">
        <f>F107-E107</f>
        <v>-44052.939999999944</v>
      </c>
      <c r="H107" s="51">
        <f>F107/E107*100</f>
        <v>86.34585080578437</v>
      </c>
      <c r="I107" s="36">
        <f t="shared" si="34"/>
        <v>-228298.4499999999</v>
      </c>
      <c r="J107" s="36">
        <f t="shared" si="36"/>
        <v>54.960024037266464</v>
      </c>
      <c r="K107" s="36">
        <f>F107-319755.3</f>
        <v>-41174.14999999991</v>
      </c>
      <c r="L107" s="136">
        <f>F107/319755.3</f>
        <v>0.8712323142102729</v>
      </c>
      <c r="M107" s="22">
        <f>M8+M74+M105+M106</f>
        <v>42402.17999999999</v>
      </c>
      <c r="N107" s="22">
        <f>N8+N74+N105+N106</f>
        <v>1996.2199999999934</v>
      </c>
      <c r="O107" s="55">
        <f t="shared" si="35"/>
        <v>-40405.96</v>
      </c>
      <c r="P107" s="36">
        <f>N107/M107*100</f>
        <v>4.707823984521536</v>
      </c>
      <c r="Q107" s="36">
        <f>N107-40595</f>
        <v>-38598.780000000006</v>
      </c>
      <c r="R107" s="136">
        <f>N107/40595</f>
        <v>0.049174036211355916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220227.8</v>
      </c>
      <c r="G108" s="71">
        <f>G10-G18+G96</f>
        <v>-35602.700000000004</v>
      </c>
      <c r="H108" s="72">
        <f>F108/E108*100</f>
        <v>86.08348105483904</v>
      </c>
      <c r="I108" s="52">
        <f t="shared" si="34"/>
        <v>-167985.40000000002</v>
      </c>
      <c r="J108" s="52">
        <f t="shared" si="36"/>
        <v>56.72857079563497</v>
      </c>
      <c r="K108" s="52">
        <f>F108-243489.6</f>
        <v>-23261.800000000017</v>
      </c>
      <c r="L108" s="137">
        <f>F108/243489.6</f>
        <v>0.9044649134911716</v>
      </c>
      <c r="M108" s="71">
        <f>M10-M18+M96</f>
        <v>33854.899999999994</v>
      </c>
      <c r="N108" s="71">
        <f>N10-N18+N96</f>
        <v>1810.7699999999988</v>
      </c>
      <c r="O108" s="53">
        <f t="shared" si="35"/>
        <v>-32044.129999999994</v>
      </c>
      <c r="P108" s="52">
        <f>N108/M108*100</f>
        <v>5.348620140659104</v>
      </c>
      <c r="Q108" s="52">
        <f>N108-31472.4</f>
        <v>-29661.63</v>
      </c>
      <c r="R108" s="137">
        <f>N108/31472.4</f>
        <v>0.05753517367598272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58353.35000000009</v>
      </c>
      <c r="G109" s="62">
        <f>F109-E109</f>
        <v>-8450.239999999932</v>
      </c>
      <c r="H109" s="72">
        <f>F109/E109*100</f>
        <v>87.3506199292584</v>
      </c>
      <c r="I109" s="52">
        <f t="shared" si="34"/>
        <v>-60313.04999999987</v>
      </c>
      <c r="J109" s="52">
        <f t="shared" si="36"/>
        <v>49.17428185231886</v>
      </c>
      <c r="K109" s="52">
        <f>F109-76265.7</f>
        <v>-17912.349999999904</v>
      </c>
      <c r="L109" s="137">
        <f>F109/76265.7</f>
        <v>0.7651322940719104</v>
      </c>
      <c r="M109" s="71">
        <f>M107-M108</f>
        <v>8547.279999999999</v>
      </c>
      <c r="N109" s="71">
        <f>N107-N108</f>
        <v>185.4499999999946</v>
      </c>
      <c r="O109" s="53">
        <f t="shared" si="35"/>
        <v>-8361.830000000004</v>
      </c>
      <c r="P109" s="52">
        <f>N109/M109*100</f>
        <v>2.169696090452104</v>
      </c>
      <c r="Q109" s="52">
        <f>N109-9122.6</f>
        <v>-8937.150000000005</v>
      </c>
      <c r="R109" s="137">
        <f>N109/9122.6</f>
        <v>0.02032863438054881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220227.8</v>
      </c>
      <c r="G110" s="111">
        <f>F110-E110</f>
        <v>-30232.800000000017</v>
      </c>
      <c r="H110" s="72">
        <f>F110/E110*100</f>
        <v>87.92911939043505</v>
      </c>
      <c r="I110" s="81">
        <f t="shared" si="34"/>
        <v>-167985.40000000002</v>
      </c>
      <c r="J110" s="52">
        <f t="shared" si="36"/>
        <v>56.72857079563497</v>
      </c>
      <c r="K110" s="52"/>
      <c r="L110" s="137"/>
      <c r="M110" s="72">
        <f>E110-липень!E110</f>
        <v>33854.899999999994</v>
      </c>
      <c r="N110" s="71">
        <f>N108</f>
        <v>1810.7699999999988</v>
      </c>
      <c r="O110" s="63">
        <f t="shared" si="35"/>
        <v>-32044.129999999994</v>
      </c>
      <c r="P110" s="52">
        <f>N110/M110*100</f>
        <v>5.348620140659104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F114-20.7</f>
        <v>-21.84</v>
      </c>
      <c r="L114" s="138">
        <f>F114/20.7</f>
        <v>-0.05507246376811594</v>
      </c>
      <c r="M114" s="40">
        <f>E114-липень!E114</f>
        <v>0</v>
      </c>
      <c r="N114" s="40">
        <f>F114-липень!F114</f>
        <v>0</v>
      </c>
      <c r="O114" s="53"/>
      <c r="P114" s="60"/>
      <c r="Q114" s="60">
        <f>N114-7.2</f>
        <v>-7.2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815.7</v>
      </c>
      <c r="G115" s="49">
        <f t="shared" si="37"/>
        <v>-1536.3999999999999</v>
      </c>
      <c r="H115" s="40">
        <f aca="true" t="shared" si="39" ref="H115:H126">F115/E115*100</f>
        <v>34.67964797415076</v>
      </c>
      <c r="I115" s="60">
        <f t="shared" si="38"/>
        <v>-2855.8</v>
      </c>
      <c r="J115" s="60">
        <f aca="true" t="shared" si="40" ref="J115:J121">F115/D115*100</f>
        <v>22.21707748876481</v>
      </c>
      <c r="K115" s="60">
        <f>F115-2927.1</f>
        <v>-2111.3999999999996</v>
      </c>
      <c r="L115" s="138">
        <f>F115/2927.1</f>
        <v>0.27867172286563496</v>
      </c>
      <c r="M115" s="40">
        <f>E115-липень!E115</f>
        <v>327.5</v>
      </c>
      <c r="N115" s="40">
        <f>F115-липень!F115</f>
        <v>2.3500000000000227</v>
      </c>
      <c r="O115" s="53">
        <f aca="true" t="shared" si="41" ref="O115:O126">N115-M115</f>
        <v>-325.15</v>
      </c>
      <c r="P115" s="60">
        <f>N115/M115*100</f>
        <v>0.7175572519084039</v>
      </c>
      <c r="Q115" s="60">
        <f>N115-728.3</f>
        <v>-725.9499999999999</v>
      </c>
      <c r="R115" s="138">
        <f>N115/728.3</f>
        <v>0.003226692297130335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183.83</v>
      </c>
      <c r="G116" s="49">
        <f t="shared" si="37"/>
        <v>5.3300000000000125</v>
      </c>
      <c r="H116" s="40">
        <f t="shared" si="39"/>
        <v>102.9859943977591</v>
      </c>
      <c r="I116" s="60">
        <f t="shared" si="38"/>
        <v>-84.27000000000001</v>
      </c>
      <c r="J116" s="60">
        <f t="shared" si="40"/>
        <v>68.56769861991793</v>
      </c>
      <c r="K116" s="60">
        <f>F116-175.7</f>
        <v>8.130000000000024</v>
      </c>
      <c r="L116" s="138">
        <f>F116/175.7</f>
        <v>1.0462720546385886</v>
      </c>
      <c r="M116" s="40">
        <f>E116-липень!E116</f>
        <v>22</v>
      </c>
      <c r="N116" s="40">
        <f>F116-липень!F116</f>
        <v>0.4900000000000091</v>
      </c>
      <c r="O116" s="53">
        <f t="shared" si="41"/>
        <v>-21.50999999999999</v>
      </c>
      <c r="P116" s="60">
        <f>N116/M116*100</f>
        <v>2.227272727272769</v>
      </c>
      <c r="Q116" s="60">
        <f>N116-21.9</f>
        <v>-21.40999999999999</v>
      </c>
      <c r="R116" s="138">
        <f>N116/21.9</f>
        <v>0.022374429223744708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998.3900000000001</v>
      </c>
      <c r="G117" s="62">
        <f t="shared" si="37"/>
        <v>-1532.2099999999998</v>
      </c>
      <c r="H117" s="72">
        <f t="shared" si="39"/>
        <v>39.452698964672415</v>
      </c>
      <c r="I117" s="61">
        <f t="shared" si="38"/>
        <v>-2941.21</v>
      </c>
      <c r="J117" s="61">
        <f t="shared" si="40"/>
        <v>25.34242055030968</v>
      </c>
      <c r="K117" s="61">
        <f>F117-3123.4</f>
        <v>-2125.01</v>
      </c>
      <c r="L117" s="139">
        <f>F117/3123.4</f>
        <v>0.3196484600115259</v>
      </c>
      <c r="M117" s="62">
        <f>M115+M116+M114</f>
        <v>349.5</v>
      </c>
      <c r="N117" s="38">
        <f>SUM(N114:N116)</f>
        <v>2.840000000000032</v>
      </c>
      <c r="O117" s="61">
        <f t="shared" si="41"/>
        <v>-346.65999999999997</v>
      </c>
      <c r="P117" s="61">
        <f>N117/M117*100</f>
        <v>0.8125894134477917</v>
      </c>
      <c r="Q117" s="61">
        <f>N117-757.4</f>
        <v>-754.56</v>
      </c>
      <c r="R117" s="139">
        <f>N117/757.4</f>
        <v>0.003749669923422276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259.9</v>
      </c>
      <c r="G119" s="49">
        <f t="shared" si="37"/>
        <v>77.39999999999998</v>
      </c>
      <c r="H119" s="40">
        <f t="shared" si="39"/>
        <v>142.41095890410958</v>
      </c>
      <c r="I119" s="60">
        <f t="shared" si="38"/>
        <v>-7.300000000000011</v>
      </c>
      <c r="J119" s="60">
        <f t="shared" si="40"/>
        <v>97.26796407185628</v>
      </c>
      <c r="K119" s="60">
        <f>F119-173.1</f>
        <v>86.79999999999998</v>
      </c>
      <c r="L119" s="138">
        <f>F119/173.1</f>
        <v>1.5014442518775273</v>
      </c>
      <c r="M119" s="40">
        <f>E119-липень!E119</f>
        <v>0</v>
      </c>
      <c r="N119" s="40">
        <f>F119-липень!F119</f>
        <v>0.8299999999999841</v>
      </c>
      <c r="O119" s="53">
        <f>N119-M119</f>
        <v>0.8299999999999841</v>
      </c>
      <c r="P119" s="60" t="e">
        <f>N119/M119*100</f>
        <v>#DIV/0!</v>
      </c>
      <c r="Q119" s="60">
        <f>N119-0.4</f>
        <v>0.42999999999998406</v>
      </c>
      <c r="R119" s="138">
        <f>N119/0.4</f>
        <v>2.07499999999996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47299.4</v>
      </c>
      <c r="G120" s="49">
        <f t="shared" si="37"/>
        <v>-2113.199999999997</v>
      </c>
      <c r="H120" s="40">
        <f t="shared" si="39"/>
        <v>95.72335800990032</v>
      </c>
      <c r="I120" s="53">
        <f t="shared" si="38"/>
        <v>-24676.590000000004</v>
      </c>
      <c r="J120" s="60">
        <f t="shared" si="40"/>
        <v>65.71552541340522</v>
      </c>
      <c r="K120" s="60">
        <f>F120-47624.2</f>
        <v>-324.79999999999563</v>
      </c>
      <c r="L120" s="138">
        <f>F120/47624.2</f>
        <v>0.993179937930716</v>
      </c>
      <c r="M120" s="40">
        <f>E120-липень!E120</f>
        <v>8100</v>
      </c>
      <c r="N120" s="40">
        <f>F120-липень!F120</f>
        <v>1089.6699999999983</v>
      </c>
      <c r="O120" s="53">
        <f t="shared" si="41"/>
        <v>-7010.330000000002</v>
      </c>
      <c r="P120" s="60">
        <f aca="true" t="shared" si="42" ref="P120:P125">N120/M120*100</f>
        <v>13.452716049382696</v>
      </c>
      <c r="Q120" s="60">
        <f>N120-7964.9</f>
        <v>-6875.230000000001</v>
      </c>
      <c r="R120" s="138">
        <f>N120/7964.9</f>
        <v>0.13680899948524128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1678.13</v>
      </c>
      <c r="G121" s="49">
        <f t="shared" si="37"/>
        <v>-44.86999999999989</v>
      </c>
      <c r="H121" s="40">
        <f t="shared" si="39"/>
        <v>97.39582124201974</v>
      </c>
      <c r="I121" s="60">
        <f t="shared" si="38"/>
        <v>-8321.869999999999</v>
      </c>
      <c r="J121" s="60">
        <f t="shared" si="40"/>
        <v>16.7813</v>
      </c>
      <c r="K121" s="60">
        <f>F121-1122.3</f>
        <v>555.8300000000002</v>
      </c>
      <c r="L121" s="138">
        <f>F121/1122.3</f>
        <v>1.4952597344738485</v>
      </c>
      <c r="M121" s="40">
        <f>E121-липень!E121</f>
        <v>40</v>
      </c>
      <c r="N121" s="40">
        <f>F121-липень!F121</f>
        <v>0</v>
      </c>
      <c r="O121" s="53">
        <f t="shared" si="41"/>
        <v>-40</v>
      </c>
      <c r="P121" s="60">
        <f t="shared" si="42"/>
        <v>0</v>
      </c>
      <c r="Q121" s="60">
        <f>N121-1.4</f>
        <v>-1.4</v>
      </c>
      <c r="R121" s="138">
        <f>N121/1.4</f>
        <v>0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2235.97</v>
      </c>
      <c r="G122" s="49">
        <f t="shared" si="37"/>
        <v>-7378.030000000001</v>
      </c>
      <c r="H122" s="40">
        <f t="shared" si="39"/>
        <v>23.257437070938213</v>
      </c>
      <c r="I122" s="60">
        <f t="shared" si="38"/>
        <v>-20842.03</v>
      </c>
      <c r="J122" s="60">
        <f>F122/D122*100</f>
        <v>9.688751191611058</v>
      </c>
      <c r="K122" s="60">
        <f>F122-14737.3</f>
        <v>-12501.33</v>
      </c>
      <c r="L122" s="138">
        <f>F122/14737.3</f>
        <v>0.15172182150054622</v>
      </c>
      <c r="M122" s="40">
        <f>E122-липень!E122</f>
        <v>2381.5</v>
      </c>
      <c r="N122" s="40">
        <f>F122-липень!F122</f>
        <v>0</v>
      </c>
      <c r="O122" s="53">
        <f t="shared" si="41"/>
        <v>-2381.5</v>
      </c>
      <c r="P122" s="60">
        <f t="shared" si="42"/>
        <v>0</v>
      </c>
      <c r="Q122" s="60">
        <f>N122-560</f>
        <v>-560</v>
      </c>
      <c r="R122" s="138">
        <f>N122/560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764.22</v>
      </c>
      <c r="G123" s="49">
        <f t="shared" si="37"/>
        <v>-477.4100000000001</v>
      </c>
      <c r="H123" s="40">
        <f t="shared" si="39"/>
        <v>61.54973703921458</v>
      </c>
      <c r="I123" s="60">
        <f t="shared" si="38"/>
        <v>-1235.78</v>
      </c>
      <c r="J123" s="60">
        <f>F123/D123*100</f>
        <v>38.211</v>
      </c>
      <c r="K123" s="60">
        <f>F123-1640.1</f>
        <v>-875.8799999999999</v>
      </c>
      <c r="L123" s="138">
        <f>F123/1640.1</f>
        <v>0.4659593927199561</v>
      </c>
      <c r="M123" s="40">
        <f>E123-липень!E123</f>
        <v>189.59000000000015</v>
      </c>
      <c r="N123" s="40">
        <f>F123-липень!F123</f>
        <v>0</v>
      </c>
      <c r="O123" s="53">
        <f t="shared" si="41"/>
        <v>-189.59000000000015</v>
      </c>
      <c r="P123" s="60">
        <f t="shared" si="42"/>
        <v>0</v>
      </c>
      <c r="Q123" s="60">
        <f>N123-290.7</f>
        <v>-290.7</v>
      </c>
      <c r="R123" s="138">
        <f>N123/290.7</f>
        <v>0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52237.62</v>
      </c>
      <c r="G124" s="62">
        <f t="shared" si="37"/>
        <v>-9936.109999999993</v>
      </c>
      <c r="H124" s="72">
        <f t="shared" si="39"/>
        <v>84.0187970063884</v>
      </c>
      <c r="I124" s="61">
        <f t="shared" si="38"/>
        <v>-55083.57</v>
      </c>
      <c r="J124" s="61">
        <f>F124/D124*100</f>
        <v>48.674096886178766</v>
      </c>
      <c r="K124" s="61">
        <f>F124-65296.9</f>
        <v>-13059.279999999999</v>
      </c>
      <c r="L124" s="139">
        <f>F124/65296.9</f>
        <v>0.8000015314662717</v>
      </c>
      <c r="M124" s="62">
        <f>M120+M121+M122+M123+M119</f>
        <v>10711.09</v>
      </c>
      <c r="N124" s="62">
        <f>N120+N121+N122+N123+N119</f>
        <v>1090.4999999999982</v>
      </c>
      <c r="O124" s="61">
        <f t="shared" si="41"/>
        <v>-9620.590000000002</v>
      </c>
      <c r="P124" s="61">
        <f t="shared" si="42"/>
        <v>10.181036663868927</v>
      </c>
      <c r="Q124" s="61">
        <f>N124-8817.5</f>
        <v>-7727.000000000002</v>
      </c>
      <c r="R124" s="139">
        <f>N124/8817.5</f>
        <v>0.12367451091579225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5309.7</v>
      </c>
      <c r="G128" s="49">
        <f aca="true" t="shared" si="43" ref="G128:G135">F128-E128</f>
        <v>-1407.8000000000002</v>
      </c>
      <c r="H128" s="40">
        <f>F128/E128*100</f>
        <v>79.04279866021585</v>
      </c>
      <c r="I128" s="60">
        <f aca="true" t="shared" si="44" ref="I128:I135">F128-D128</f>
        <v>-3390.3</v>
      </c>
      <c r="J128" s="60">
        <f>F128/D128*100</f>
        <v>61.03103448275861</v>
      </c>
      <c r="K128" s="60">
        <f>F128-8680.2</f>
        <v>-3370.500000000001</v>
      </c>
      <c r="L128" s="138">
        <f>F128/8680.2</f>
        <v>0.6117024953342088</v>
      </c>
      <c r="M128" s="40">
        <f>E128-липень!E128</f>
        <v>1702</v>
      </c>
      <c r="N128" s="40">
        <f>F128-липень!F128</f>
        <v>1.5299999999997453</v>
      </c>
      <c r="O128" s="53">
        <f aca="true" t="shared" si="45" ref="O128:O135">N128-M128</f>
        <v>-1700.4700000000003</v>
      </c>
      <c r="P128" s="60">
        <f>N128/M128*100</f>
        <v>0.08989424206814015</v>
      </c>
      <c r="Q128" s="60">
        <f>N128-2359.4</f>
        <v>-2357.8700000000003</v>
      </c>
      <c r="R128" s="162">
        <f>N128/2359.4</f>
        <v>0.000648469949987177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F129-0.3</f>
        <v>0.22000000000000003</v>
      </c>
      <c r="L129" s="138">
        <f>F129/0.3</f>
        <v>1.7333333333333334</v>
      </c>
      <c r="M129" s="40">
        <f>E129-липень!E129</f>
        <v>0</v>
      </c>
      <c r="N129" s="40">
        <f>F129-липень!F129</f>
        <v>0</v>
      </c>
      <c r="O129" s="53">
        <f t="shared" si="45"/>
        <v>0</v>
      </c>
      <c r="P129" s="60"/>
      <c r="Q129" s="60">
        <f>N129-0.4</f>
        <v>-0.4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5343.87</v>
      </c>
      <c r="G130" s="62">
        <f t="shared" si="43"/>
        <v>-1403.9899999999998</v>
      </c>
      <c r="H130" s="72">
        <f>F130/E130*100</f>
        <v>79.19355173343845</v>
      </c>
      <c r="I130" s="61">
        <f t="shared" si="44"/>
        <v>-3406.830000000001</v>
      </c>
      <c r="J130" s="61">
        <f>F130/D130*100</f>
        <v>61.067914566834645</v>
      </c>
      <c r="K130" s="61">
        <f>F130-8800.6</f>
        <v>-3456.7300000000005</v>
      </c>
      <c r="L130" s="139">
        <f>G130/8800.6</f>
        <v>-0.15953344090175667</v>
      </c>
      <c r="M130" s="62">
        <f>M125+M128+M129+M127</f>
        <v>1706</v>
      </c>
      <c r="N130" s="62">
        <f>N125+N128+N129+N127</f>
        <v>1.5299999999997453</v>
      </c>
      <c r="O130" s="61">
        <f t="shared" si="45"/>
        <v>-1704.4700000000003</v>
      </c>
      <c r="P130" s="61">
        <f>N130/M130*100</f>
        <v>0.08968347010549504</v>
      </c>
      <c r="Q130" s="61">
        <f>N130-2362.3</f>
        <v>-2360.7700000000004</v>
      </c>
      <c r="R130" s="137">
        <f>N130/2362.3</f>
        <v>0.0006476738771535136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58602.280000000006</v>
      </c>
      <c r="G134" s="50">
        <f t="shared" si="43"/>
        <v>-12866.359999999993</v>
      </c>
      <c r="H134" s="51">
        <f>F134/E134*100</f>
        <v>81.99719485357495</v>
      </c>
      <c r="I134" s="36">
        <f t="shared" si="44"/>
        <v>-61439.21</v>
      </c>
      <c r="J134" s="36">
        <f>F134/D134*100</f>
        <v>48.81835438730393</v>
      </c>
      <c r="K134" s="36">
        <f>F134-77238.6</f>
        <v>-18636.32</v>
      </c>
      <c r="L134" s="136">
        <f>F134/77238.6</f>
        <v>0.7587175324254971</v>
      </c>
      <c r="M134" s="31">
        <f>M117+M131+M124+M130+M133+M132</f>
        <v>12766.99</v>
      </c>
      <c r="N134" s="31">
        <f>N117+N131+N124+N130+N133+N132</f>
        <v>1094.869999999998</v>
      </c>
      <c r="O134" s="36">
        <f t="shared" si="45"/>
        <v>-11672.120000000003</v>
      </c>
      <c r="P134" s="36">
        <f>N134/M134*100</f>
        <v>8.57578802834496</v>
      </c>
      <c r="Q134" s="36">
        <f>N134-11937.6</f>
        <v>-10842.730000000003</v>
      </c>
      <c r="R134" s="136">
        <f>N134/11937.6</f>
        <v>0.09171609033641587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337183.4300000001</v>
      </c>
      <c r="G135" s="50">
        <f t="shared" si="43"/>
        <v>-56919.29999999993</v>
      </c>
      <c r="H135" s="51">
        <f>F135/E135*100</f>
        <v>85.55724290466095</v>
      </c>
      <c r="I135" s="36">
        <f t="shared" si="44"/>
        <v>-289737.65999999986</v>
      </c>
      <c r="J135" s="36">
        <f>F135/D135*100</f>
        <v>53.7840304590806</v>
      </c>
      <c r="K135" s="36">
        <f>F135-396993.9</f>
        <v>-59810.469999999914</v>
      </c>
      <c r="L135" s="136">
        <f>F135/396993.9</f>
        <v>0.8493415893795851</v>
      </c>
      <c r="M135" s="22">
        <f>M107+M134</f>
        <v>55169.16999999999</v>
      </c>
      <c r="N135" s="22">
        <f>N107+N134</f>
        <v>3091.0899999999915</v>
      </c>
      <c r="O135" s="36">
        <f t="shared" si="45"/>
        <v>-52078.08</v>
      </c>
      <c r="P135" s="36">
        <f>N135/M135*100</f>
        <v>5.6029300422681585</v>
      </c>
      <c r="Q135" s="36">
        <f>N135-52532.5</f>
        <v>-49441.41000000001</v>
      </c>
      <c r="R135" s="136">
        <f>N135/52532.5</f>
        <v>0.058841479084376175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18</v>
      </c>
      <c r="D137" s="4" t="s">
        <v>118</v>
      </c>
    </row>
    <row r="138" spans="2:17" ht="31.5">
      <c r="B138" s="78" t="s">
        <v>154</v>
      </c>
      <c r="C138" s="39">
        <f>IF(O107&lt;0,ABS(O107/C137),0)</f>
        <v>2244.7755555555555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41855</v>
      </c>
      <c r="D139" s="39">
        <v>1040.1</v>
      </c>
      <c r="N139" s="179"/>
      <c r="O139" s="179"/>
    </row>
    <row r="140" spans="3:15" ht="15.75">
      <c r="C140" s="120">
        <v>41852</v>
      </c>
      <c r="D140" s="39">
        <v>956.4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41851</v>
      </c>
      <c r="D141" s="39">
        <v>2276.2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'[1]залишки  (2)'!$G$6/1000</f>
        <v>121692.5163</v>
      </c>
      <c r="E143" s="80"/>
      <c r="F143" s="100" t="s">
        <v>147</v>
      </c>
      <c r="G143" s="175" t="s">
        <v>149</v>
      </c>
      <c r="H143" s="175"/>
      <c r="I143" s="116">
        <f>'[1]залишки  (2)'!$G$10/1000</f>
        <v>107867.29434000001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'[1]надх'!$B$52/1000</f>
        <v>24148.364239999995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86" sqref="J8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24148.364239999995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2014-08-05T07:31:14Z</cp:lastPrinted>
  <dcterms:created xsi:type="dcterms:W3CDTF">2003-07-28T11:27:56Z</dcterms:created>
  <dcterms:modified xsi:type="dcterms:W3CDTF">2014-08-05T07:53:54Z</dcterms:modified>
  <cp:category/>
  <cp:version/>
  <cp:contentType/>
  <cp:contentStatus/>
</cp:coreProperties>
</file>